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34\"/>
    </mc:Choice>
  </mc:AlternateContent>
  <bookViews>
    <workbookView xWindow="0" yWindow="0" windowWidth="19305" windowHeight="8085"/>
  </bookViews>
  <sheets>
    <sheet name="CT3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1" l="1"/>
  <c r="X24" i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22" i="1"/>
  <c r="F21" i="1"/>
  <c r="F20" i="1"/>
  <c r="F19" i="1"/>
  <c r="F18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F5" i="1"/>
  <c r="H5" i="1" s="1"/>
  <c r="F4" i="1"/>
  <c r="F3" i="1"/>
  <c r="F2" i="1"/>
  <c r="H21" i="1" l="1"/>
  <c r="H6" i="1"/>
  <c r="H14" i="1"/>
  <c r="H3" i="1"/>
  <c r="H15" i="1"/>
  <c r="H19" i="1"/>
  <c r="H2" i="1"/>
  <c r="H10" i="1"/>
  <c r="H18" i="1"/>
  <c r="H22" i="1"/>
  <c r="H7" i="1"/>
  <c r="H11" i="1"/>
  <c r="H4" i="1"/>
  <c r="H8" i="1"/>
  <c r="H12" i="1"/>
  <c r="H16" i="1"/>
  <c r="H20" i="1"/>
  <c r="AA17" i="1"/>
  <c r="AA18" i="1"/>
  <c r="AA19" i="1"/>
  <c r="AA20" i="1"/>
  <c r="AA21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19" i="1" l="1"/>
  <c r="AB5" i="1"/>
  <c r="AB9" i="1"/>
  <c r="AB13" i="1"/>
  <c r="AB21" i="1"/>
  <c r="AB17" i="1"/>
  <c r="AB2" i="1"/>
  <c r="AB6" i="1"/>
  <c r="AB10" i="1"/>
  <c r="AB14" i="1"/>
  <c r="AB20" i="1"/>
  <c r="AB3" i="1"/>
  <c r="AB7" i="1"/>
  <c r="AB11" i="1"/>
  <c r="AB15" i="1"/>
  <c r="AB4" i="1"/>
  <c r="AB8" i="1"/>
  <c r="AB12" i="1"/>
  <c r="AB16" i="1"/>
  <c r="AB18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2" i="1" s="1"/>
  <c r="M2" i="1" l="1"/>
  <c r="K22" i="1"/>
  <c r="K14" i="1"/>
  <c r="M14" i="1" s="1"/>
  <c r="K12" i="1"/>
  <c r="M12" i="1" s="1"/>
  <c r="K15" i="1"/>
  <c r="M15" i="1" s="1"/>
  <c r="K13" i="1"/>
  <c r="M13" i="1" s="1"/>
  <c r="K9" i="1"/>
  <c r="M9" i="1" s="1"/>
  <c r="K17" i="1"/>
  <c r="M17" i="1" s="1"/>
  <c r="K20" i="1"/>
  <c r="M20" i="1" s="1"/>
  <c r="K18" i="1"/>
  <c r="M18" i="1" s="1"/>
  <c r="K19" i="1"/>
  <c r="M19" i="1" s="1"/>
  <c r="K21" i="1"/>
  <c r="M21" i="1" s="1"/>
  <c r="K3" i="1"/>
  <c r="M3" i="1" s="1"/>
  <c r="K16" i="1"/>
  <c r="M16" i="1" s="1"/>
  <c r="K6" i="1"/>
  <c r="M6" i="1" s="1"/>
  <c r="K7" i="1"/>
  <c r="M7" i="1" s="1"/>
  <c r="K4" i="1"/>
  <c r="M4" i="1" s="1"/>
  <c r="K5" i="1"/>
  <c r="M5" i="1" s="1"/>
  <c r="K10" i="1"/>
  <c r="M10" i="1" s="1"/>
  <c r="K11" i="1"/>
  <c r="M11" i="1" s="1"/>
  <c r="K8" i="1"/>
  <c r="M8" i="1" s="1"/>
  <c r="X8" i="1" l="1"/>
  <c r="T8" i="1"/>
  <c r="O8" i="1"/>
  <c r="Q8" i="1" s="1"/>
  <c r="X3" i="1"/>
  <c r="T3" i="1"/>
  <c r="O3" i="1"/>
  <c r="Q3" i="1" s="1"/>
  <c r="X13" i="1"/>
  <c r="T13" i="1"/>
  <c r="O13" i="1"/>
  <c r="Q13" i="1" s="1"/>
  <c r="X11" i="1"/>
  <c r="AC11" i="1" s="1"/>
  <c r="T11" i="1"/>
  <c r="O11" i="1"/>
  <c r="Q11" i="1" s="1"/>
  <c r="X17" i="1"/>
  <c r="T17" i="1"/>
  <c r="O17" i="1"/>
  <c r="Q17" i="1" s="1"/>
  <c r="O6" i="1"/>
  <c r="Q6" i="1" s="1"/>
  <c r="X6" i="1"/>
  <c r="T6" i="1"/>
  <c r="X4" i="1"/>
  <c r="T4" i="1"/>
  <c r="O4" i="1"/>
  <c r="X20" i="1"/>
  <c r="T20" i="1"/>
  <c r="O20" i="1"/>
  <c r="Q20" i="1" s="1"/>
  <c r="O14" i="1"/>
  <c r="Q14" i="1" s="1"/>
  <c r="X14" i="1"/>
  <c r="T14" i="1"/>
  <c r="X7" i="1"/>
  <c r="T7" i="1"/>
  <c r="O7" i="1"/>
  <c r="Q7" i="1" s="1"/>
  <c r="X21" i="1"/>
  <c r="T21" i="1"/>
  <c r="O21" i="1"/>
  <c r="Q21" i="1" s="1"/>
  <c r="X15" i="1"/>
  <c r="T15" i="1"/>
  <c r="O15" i="1"/>
  <c r="Q15" i="1" s="1"/>
  <c r="M22" i="1"/>
  <c r="O10" i="1"/>
  <c r="X10" i="1"/>
  <c r="T10" i="1"/>
  <c r="X19" i="1"/>
  <c r="T19" i="1"/>
  <c r="O19" i="1"/>
  <c r="Q19" i="1" s="1"/>
  <c r="X9" i="1"/>
  <c r="T9" i="1"/>
  <c r="O9" i="1"/>
  <c r="Q9" i="1" s="1"/>
  <c r="O2" i="1"/>
  <c r="X2" i="1"/>
  <c r="AC2" i="1" s="1"/>
  <c r="T2" i="1"/>
  <c r="X5" i="1"/>
  <c r="T5" i="1"/>
  <c r="O5" i="1"/>
  <c r="Q5" i="1" s="1"/>
  <c r="X16" i="1"/>
  <c r="T16" i="1"/>
  <c r="O16" i="1"/>
  <c r="Q16" i="1" s="1"/>
  <c r="O18" i="1"/>
  <c r="Q18" i="1" s="1"/>
  <c r="X18" i="1"/>
  <c r="T18" i="1"/>
  <c r="X12" i="1"/>
  <c r="T12" i="1"/>
  <c r="O12" i="1"/>
  <c r="Q12" i="1" s="1"/>
  <c r="AC21" i="1"/>
  <c r="AC8" i="1"/>
  <c r="AC20" i="1"/>
  <c r="AC17" i="1"/>
  <c r="AC6" i="1"/>
  <c r="V2" i="1"/>
  <c r="V3" i="1"/>
  <c r="AC7" i="1" l="1"/>
  <c r="AC3" i="1"/>
  <c r="AC4" i="1"/>
  <c r="AC18" i="1"/>
  <c r="AC10" i="1"/>
  <c r="Q2" i="1"/>
  <c r="Q4" i="1"/>
  <c r="AC16" i="1"/>
  <c r="AC9" i="1"/>
  <c r="Q10" i="1"/>
  <c r="O22" i="1"/>
  <c r="Q22" i="1"/>
  <c r="AC5" i="1"/>
  <c r="AC19" i="1"/>
  <c r="AC15" i="1"/>
  <c r="AC13" i="1"/>
  <c r="AC14" i="1"/>
  <c r="AC12" i="1"/>
  <c r="V12" i="1"/>
  <c r="V4" i="1"/>
  <c r="V8" i="1"/>
  <c r="V9" i="1"/>
  <c r="AC23" i="1" l="1"/>
  <c r="V18" i="1"/>
  <c r="V20" i="1"/>
  <c r="V14" i="1"/>
  <c r="V11" i="1"/>
  <c r="V6" i="1"/>
  <c r="V7" i="1"/>
  <c r="V13" i="1"/>
  <c r="V21" i="1"/>
  <c r="V10" i="1"/>
  <c r="V15" i="1"/>
  <c r="V19" i="1"/>
  <c r="V16" i="1"/>
  <c r="V5" i="1"/>
  <c r="V17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<sst xmlns="http://schemas.openxmlformats.org/spreadsheetml/2006/main" count="55" uniqueCount="55">
  <si>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</si>
  <si>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</si>
  <si>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</si>
  <si>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</si>
  <si>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</si>
  <si>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</si>
  <si>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</si>
  <si>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</si>
  <si>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</si>
  <si>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</si>
  <si>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</si>
  <si>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</si>
  <si>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</si>
  <si>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</si>
  <si>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4 ml/min</t>
  </si>
  <si>
    <t>Decay constant of sr-90=</t>
  </si>
  <si>
    <t>DC factor</t>
  </si>
  <si>
    <t>CT34 1 mL</t>
  </si>
  <si>
    <t>CT34 2 mL</t>
  </si>
  <si>
    <t>CT34 3 mL</t>
  </si>
  <si>
    <t>CT34 4 mL</t>
  </si>
  <si>
    <t>CT34 5 mL</t>
  </si>
  <si>
    <t>CT34 6 mL</t>
  </si>
  <si>
    <t>CT34 7 mL</t>
  </si>
  <si>
    <t>CT34 8 mL</t>
  </si>
  <si>
    <t>CT34 9 mL</t>
  </si>
  <si>
    <t>CT34 10 mL</t>
  </si>
  <si>
    <t>CT34 11 mL</t>
  </si>
  <si>
    <t>CT34 12 mL</t>
  </si>
  <si>
    <t>CT34 13 mL</t>
  </si>
  <si>
    <t>CT34 14 mL</t>
  </si>
  <si>
    <t>CT34 15 mL</t>
  </si>
  <si>
    <t>CT34 16 mL</t>
  </si>
  <si>
    <t>CT34 17 mL</t>
  </si>
  <si>
    <t>CT34 18 mL</t>
  </si>
  <si>
    <t>CT34 19 mL</t>
  </si>
  <si>
    <t>CT34 20 mL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</si>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</sst>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0" fontId="1" fillId="0" borderId="0" xfId="0" applyFont="1"/>
    <xf numFmtId="22" fontId="0" fillId="0" borderId="1" xfId="0" applyNumberFormat="1" applyBorder="1"/>
    <xf numFmtId="2" fontId="0" fillId="0" borderId="1" xfId="0" applyNumberFormat="1" applyBorder="1"/>
    <xf numFmtId="2" fontId="0" fillId="3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90" zoomScaleNormal="90" workbookViewId="0">
      <selection activeCell="D28" sqref="D28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17.5703125" bestFit="1" customWidth="1"/>
    <col min="5" max="6" width="17.5703125" style="6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7" t="s">
        <v>3</v>
      </c>
      <c r="B1" s="24" t="s">
        <v>5</v>
      </c>
      <c r="C1" s="7" t="s">
        <v>4</v>
      </c>
      <c r="D1" s="7" t="s">
        <v>0</v>
      </c>
      <c r="E1" s="3" t="s">
        <v>37</v>
      </c>
      <c r="F1" s="3" t="s">
        <v>38</v>
      </c>
      <c r="G1" s="7" t="s">
        <v>10</v>
      </c>
      <c r="H1" s="3" t="s">
        <v>39</v>
      </c>
      <c r="I1" s="7" t="s">
        <v>1</v>
      </c>
      <c r="J1" s="3" t="s">
        <v>40</v>
      </c>
      <c r="K1" s="7" t="s">
        <v>6</v>
      </c>
      <c r="L1" s="3" t="s">
        <v>41</v>
      </c>
      <c r="M1" s="7" t="s">
        <v>7</v>
      </c>
      <c r="N1" s="3" t="s">
        <v>42</v>
      </c>
      <c r="O1" s="7" t="s">
        <v>8</v>
      </c>
      <c r="P1" s="3" t="s">
        <v>43</v>
      </c>
      <c r="Q1" s="7" t="s">
        <v>9</v>
      </c>
      <c r="R1" s="7" t="s">
        <v>44</v>
      </c>
      <c r="S1" s="3" t="s">
        <v>45</v>
      </c>
      <c r="T1" s="7" t="s">
        <v>12</v>
      </c>
      <c r="U1" s="3" t="s">
        <v>46</v>
      </c>
      <c r="V1" s="7" t="s">
        <v>13</v>
      </c>
      <c r="W1" s="3" t="s">
        <v>47</v>
      </c>
      <c r="X1" s="7" t="s">
        <v>48</v>
      </c>
      <c r="Y1" s="3" t="s">
        <v>49</v>
      </c>
      <c r="Z1" s="3" t="s">
        <v>50</v>
      </c>
      <c r="AA1" s="7" t="s">
        <v>51</v>
      </c>
      <c r="AB1" s="7" t="s">
        <v>16</v>
      </c>
      <c r="AC1" s="8" t="s">
        <v>52</v>
      </c>
    </row>
    <row r="2" spans="1:31" x14ac:dyDescent="0.25">
      <c r="A2" s="28" t="s">
        <v>17</v>
      </c>
      <c r="B2" s="25">
        <v>43363.541666666664</v>
      </c>
      <c r="C2" s="19">
        <v>43363.970833333333</v>
      </c>
      <c r="D2" s="20">
        <v>8.35</v>
      </c>
      <c r="E2" s="21">
        <v>6.32</v>
      </c>
      <c r="F2" s="4">
        <f>D2*(E2/100)</f>
        <v>0.52772000000000008</v>
      </c>
      <c r="G2" s="18">
        <f t="shared" ref="G2:G22" si="0">D2-$D$22</f>
        <v>0.4399999999999995</v>
      </c>
      <c r="H2" s="4">
        <f>SQRT((F2^2)+(F$17^2))</f>
        <v>0.75513925662489567</v>
      </c>
      <c r="I2" s="22">
        <f>(C2-B2)*24</f>
        <v>10.300000000046566</v>
      </c>
      <c r="J2" s="9">
        <f>1/60</f>
        <v>1.6666666666666666E-2</v>
      </c>
      <c r="K2" s="18">
        <f>1-EXP(-$AE$3*I2)</f>
        <v>0.10977152248749689</v>
      </c>
      <c r="L2" s="4">
        <f>K2*SQRT(((J2/I2)^2))</f>
        <v>1.7762382279449938E-4</v>
      </c>
      <c r="M2" s="18">
        <f>G2/((1+K2))</f>
        <v>0.39647800568333352</v>
      </c>
      <c r="N2" s="4">
        <f t="shared" ref="N2:N22" si="1">M2*SQRT(((H2/G2)^2)+((L2/K2)^2))</f>
        <v>0.6804459989840026</v>
      </c>
      <c r="O2" s="18">
        <f>M2*K2</f>
        <v>4.3521994316665966E-2</v>
      </c>
      <c r="P2" s="4">
        <f t="shared" ref="P2:P22" si="2">O2*SQRT(((N2/M2)^2)+((L2/K2)^2))</f>
        <v>7.469362647816627E-2</v>
      </c>
      <c r="Q2" s="18">
        <f>M2+O2</f>
        <v>0.4399999999999995</v>
      </c>
      <c r="R2" s="18">
        <v>0.87070000000000025</v>
      </c>
      <c r="S2" s="4">
        <v>1.4142135623730951E-4</v>
      </c>
      <c r="T2" s="18">
        <f>M2/R2</f>
        <v>0.45535546765054946</v>
      </c>
      <c r="U2" s="4">
        <f>T2*SQRT(((S2/R2)^2)+((N2/M2)^2))</f>
        <v>0.78149305390059487</v>
      </c>
      <c r="V2" s="18">
        <f>SUM($T$2:T2)</f>
        <v>0.45535546765054946</v>
      </c>
      <c r="W2" s="4">
        <f>SQRT((U2^2))</f>
        <v>0.78149305390059487</v>
      </c>
      <c r="X2" s="18">
        <f>M2/60</f>
        <v>6.6079667613888919E-3</v>
      </c>
      <c r="Y2" s="4">
        <f>X2*SQRT(((N2/M2)^2))</f>
        <v>1.1340766649733377E-2</v>
      </c>
      <c r="Z2" s="4">
        <f>Y2^2</f>
        <v>1.286129882037048E-4</v>
      </c>
      <c r="AA2" s="18">
        <f>(C2-$AE$6)*24</f>
        <v>179.29999999998836</v>
      </c>
      <c r="AB2" s="23">
        <f>EXP(-$AE$9*AA2)</f>
        <v>0.99950750458611126</v>
      </c>
      <c r="AC2" s="18">
        <f>X2/AB2</f>
        <v>6.6112227582775405E-3</v>
      </c>
      <c r="AE2" t="s">
        <v>2</v>
      </c>
    </row>
    <row r="3" spans="1:31" x14ac:dyDescent="0.25">
      <c r="A3" s="29" t="s">
        <v>18</v>
      </c>
      <c r="B3" s="26">
        <v>43363.54184027778</v>
      </c>
      <c r="C3" s="13">
        <v>43363.993055555555</v>
      </c>
      <c r="D3" s="14">
        <v>8.73</v>
      </c>
      <c r="E3" s="15">
        <v>6.25</v>
      </c>
      <c r="F3" s="5">
        <f t="shared" ref="F3:F22" si="3">D3*(E3/100)</f>
        <v>0.54562500000000003</v>
      </c>
      <c r="G3" s="11">
        <f t="shared" si="0"/>
        <v>0.82000000000000028</v>
      </c>
      <c r="H3" s="5">
        <f>SQRT((F3^2)+(F$17^2))</f>
        <v>0.76775877664862935</v>
      </c>
      <c r="I3" s="16">
        <f t="shared" ref="I3:I21" si="4">(C3-B3)*24</f>
        <v>10.829166666604578</v>
      </c>
      <c r="J3" s="10">
        <f t="shared" ref="J3:J22" si="5">1/60</f>
        <v>1.6666666666666666E-2</v>
      </c>
      <c r="K3" s="11">
        <f>1-EXP(-$AE$3*I3)</f>
        <v>0.11507370297036845</v>
      </c>
      <c r="L3" s="5">
        <f t="shared" ref="L3:L22" si="6">K3*SQRT(((J3/I3)^2))</f>
        <v>1.7710458325668059E-4</v>
      </c>
      <c r="M3" s="11">
        <f>G3/((1+K3))</f>
        <v>0.73537739955274573</v>
      </c>
      <c r="N3" s="5">
        <f t="shared" si="1"/>
        <v>0.68852831148769889</v>
      </c>
      <c r="O3" s="11">
        <f>M3*K3</f>
        <v>8.4622600447254628E-2</v>
      </c>
      <c r="P3" s="5">
        <f t="shared" si="2"/>
        <v>7.9231609444273321E-2</v>
      </c>
      <c r="Q3" s="11">
        <f t="shared" ref="Q3:Q22" si="7">M3+O3</f>
        <v>0.8200000000000004</v>
      </c>
      <c r="R3" s="11">
        <v>1.0168000000000008</v>
      </c>
      <c r="S3" s="5">
        <v>1.4142135623730951E-4</v>
      </c>
      <c r="T3" s="11">
        <f>M3/R3</f>
        <v>0.72322718288035515</v>
      </c>
      <c r="U3" s="5">
        <f t="shared" ref="U3:U22" si="8">T3*SQRT(((S3/R3)^2)+((N3/M3)^2))</f>
        <v>0.67715216275024148</v>
      </c>
      <c r="V3" s="11">
        <f>SUM($T$2:T3)</f>
        <v>1.1785826505309047</v>
      </c>
      <c r="W3" s="5">
        <f>SQRT((U3^2)+(U2^2))</f>
        <v>1.0340534052031394</v>
      </c>
      <c r="X3" s="11">
        <f t="shared" ref="X3:X21" si="9">M3/60</f>
        <v>1.2256289992545763E-2</v>
      </c>
      <c r="Y3" s="5">
        <f t="shared" ref="Y3:Y16" si="10">X3*SQRT(((N3/M3)^2))</f>
        <v>1.1475471858128316E-2</v>
      </c>
      <c r="Z3" s="5">
        <f t="shared" ref="Z3:Z16" si="11">Y3^2</f>
        <v>1.3168645436669496E-4</v>
      </c>
      <c r="AA3" s="11">
        <f>(C3-$AE$6)*24</f>
        <v>179.83333333331393</v>
      </c>
      <c r="AB3" s="17">
        <f t="shared" ref="AB3:AB21" si="12">EXP(-$AE$9*AA3)</f>
        <v>0.99950604000531229</v>
      </c>
      <c r="AC3" s="11">
        <f t="shared" ref="AC3:AC21" si="13">X3/AB3</f>
        <v>1.2262347101454856E-2</v>
      </c>
      <c r="AE3">
        <f>LN(2)/61.4</f>
        <v>1.1289042028663604E-2</v>
      </c>
    </row>
    <row r="4" spans="1:31" x14ac:dyDescent="0.25">
      <c r="A4" s="29" t="s">
        <v>19</v>
      </c>
      <c r="B4" s="26">
        <v>43363.542013888888</v>
      </c>
      <c r="C4" s="13">
        <v>43364.015972222223</v>
      </c>
      <c r="D4" s="14">
        <v>9.2799999999999994</v>
      </c>
      <c r="E4" s="15">
        <v>6.06</v>
      </c>
      <c r="F4" s="5">
        <f t="shared" si="3"/>
        <v>0.56236799999999987</v>
      </c>
      <c r="G4" s="11">
        <f t="shared" si="0"/>
        <v>1.3699999999999992</v>
      </c>
      <c r="H4" s="5">
        <f t="shared" ref="H4:H17" si="14">SQRT((F4^2)+(F$17^2))</f>
        <v>0.77974653953704709</v>
      </c>
      <c r="I4" s="16">
        <f t="shared" si="4"/>
        <v>11.375000000058208</v>
      </c>
      <c r="J4" s="10">
        <f t="shared" si="5"/>
        <v>1.6666666666666666E-2</v>
      </c>
      <c r="K4" s="11">
        <f>1-EXP(-$AE$3*I4)</f>
        <v>0.1205097960558279</v>
      </c>
      <c r="L4" s="5">
        <f t="shared" si="6"/>
        <v>1.7657112975122524E-4</v>
      </c>
      <c r="M4" s="11">
        <f>G4/((1+K4))</f>
        <v>1.2226577624063366</v>
      </c>
      <c r="N4" s="5">
        <f t="shared" si="1"/>
        <v>0.69588782359481505</v>
      </c>
      <c r="O4" s="11">
        <f>M4*K4</f>
        <v>0.14734223759366252</v>
      </c>
      <c r="P4" s="5">
        <f t="shared" si="2"/>
        <v>8.386157757889949E-2</v>
      </c>
      <c r="Q4" s="11">
        <f t="shared" si="7"/>
        <v>1.3699999999999992</v>
      </c>
      <c r="R4" s="11">
        <v>1.0093000000000005</v>
      </c>
      <c r="S4" s="5">
        <v>1.4142135623730951E-4</v>
      </c>
      <c r="T4" s="11">
        <f>M4/R4</f>
        <v>1.2113918184943386</v>
      </c>
      <c r="U4" s="5">
        <f t="shared" si="8"/>
        <v>0.68947572048207084</v>
      </c>
      <c r="V4" s="11">
        <f>SUM($T$2:T4)</f>
        <v>2.3899744690252431</v>
      </c>
      <c r="W4" s="5">
        <f>SQRT((U4^2)+(U3^2)+(U2^2))</f>
        <v>1.2428367607801429</v>
      </c>
      <c r="X4" s="11">
        <f t="shared" si="9"/>
        <v>2.0377629373438944E-2</v>
      </c>
      <c r="Y4" s="5">
        <f t="shared" si="10"/>
        <v>1.1598130393246918E-2</v>
      </c>
      <c r="Z4" s="5">
        <f t="shared" si="11"/>
        <v>1.345166286187579E-4</v>
      </c>
      <c r="AA4" s="11">
        <f>(C4-$AE$6)*24</f>
        <v>180.3833333333605</v>
      </c>
      <c r="AB4" s="17">
        <f t="shared" si="12"/>
        <v>0.99950452965861081</v>
      </c>
      <c r="AC4" s="11">
        <f t="shared" si="13"/>
        <v>2.0387730889422879E-2</v>
      </c>
    </row>
    <row r="5" spans="1:31" x14ac:dyDescent="0.25">
      <c r="A5" s="29" t="s">
        <v>20</v>
      </c>
      <c r="B5" s="26">
        <v>43363.542187615742</v>
      </c>
      <c r="C5" s="13">
        <v>43364.038888888892</v>
      </c>
      <c r="D5" s="14">
        <v>9.58</v>
      </c>
      <c r="E5" s="15">
        <v>5.97</v>
      </c>
      <c r="F5" s="5">
        <f t="shared" si="3"/>
        <v>0.57192599999999993</v>
      </c>
      <c r="G5" s="11">
        <f t="shared" si="0"/>
        <v>1.67</v>
      </c>
      <c r="H5" s="5">
        <f t="shared" si="14"/>
        <v>0.78666781297571842</v>
      </c>
      <c r="I5" s="16">
        <f t="shared" si="4"/>
        <v>11.920830555609427</v>
      </c>
      <c r="J5" s="10">
        <f t="shared" si="5"/>
        <v>1.6666666666666666E-2</v>
      </c>
      <c r="K5" s="11">
        <f>1-EXP(-$AE$3*I5)</f>
        <v>0.12591246786645627</v>
      </c>
      <c r="L5" s="5">
        <f t="shared" si="6"/>
        <v>1.7603984230109886E-4</v>
      </c>
      <c r="M5" s="11">
        <f>G5/((1+K5))</f>
        <v>1.4832414132197687</v>
      </c>
      <c r="N5" s="5">
        <f t="shared" si="1"/>
        <v>0.69869665747756704</v>
      </c>
      <c r="O5" s="11">
        <f>M5*K5</f>
        <v>0.1867585867802313</v>
      </c>
      <c r="P5" s="5">
        <f t="shared" si="2"/>
        <v>8.7975007920166548E-2</v>
      </c>
      <c r="Q5" s="11">
        <f t="shared" si="7"/>
        <v>1.67</v>
      </c>
      <c r="R5" s="11">
        <v>0.83290000000000042</v>
      </c>
      <c r="S5" s="5">
        <v>1.4142135623730951E-4</v>
      </c>
      <c r="T5" s="11">
        <f>M5/R5</f>
        <v>1.7808157200381414</v>
      </c>
      <c r="U5" s="5">
        <f t="shared" si="8"/>
        <v>0.83887225701335988</v>
      </c>
      <c r="V5" s="11">
        <f>SUM($T$2:T5)</f>
        <v>4.1707901890633847</v>
      </c>
      <c r="W5" s="5">
        <f>SQRT((U5^2)+(U4^2)+(U3^2)+(U2^2))</f>
        <v>1.4994498582924229</v>
      </c>
      <c r="X5" s="11">
        <f t="shared" si="9"/>
        <v>2.4720690220329477E-2</v>
      </c>
      <c r="Y5" s="5">
        <f t="shared" si="10"/>
        <v>1.1644944291292784E-2</v>
      </c>
      <c r="Z5" s="5">
        <f t="shared" si="11"/>
        <v>1.3560472754731241E-4</v>
      </c>
      <c r="AA5" s="11">
        <f>(C5-$AE$6)*24</f>
        <v>180.93333333340706</v>
      </c>
      <c r="AB5" s="17">
        <f t="shared" si="12"/>
        <v>0.99950301931419172</v>
      </c>
      <c r="AC5" s="11">
        <f t="shared" si="13"/>
        <v>2.4732982034703168E-2</v>
      </c>
    </row>
    <row r="6" spans="1:31" x14ac:dyDescent="0.25">
      <c r="A6" s="29" t="s">
        <v>21</v>
      </c>
      <c r="B6" s="26">
        <v>43363.542361284723</v>
      </c>
      <c r="C6" s="13">
        <v>43364.061805555553</v>
      </c>
      <c r="D6" s="14">
        <v>52.88</v>
      </c>
      <c r="E6" s="15">
        <v>2.54</v>
      </c>
      <c r="F6" s="5">
        <f t="shared" si="3"/>
        <v>1.3431519999999999</v>
      </c>
      <c r="G6" s="11">
        <f t="shared" si="0"/>
        <v>44.97</v>
      </c>
      <c r="H6" s="5">
        <f t="shared" si="14"/>
        <v>1.4476892600278555</v>
      </c>
      <c r="I6" s="16">
        <f t="shared" si="4"/>
        <v>12.466662499937229</v>
      </c>
      <c r="J6" s="10">
        <f t="shared" si="5"/>
        <v>1.6666666666666666E-2</v>
      </c>
      <c r="K6" s="11">
        <f>1-EXP(-$AE$3*I6)</f>
        <v>0.13128196490816912</v>
      </c>
      <c r="L6" s="5">
        <f t="shared" si="6"/>
        <v>1.7551070693383271E-4</v>
      </c>
      <c r="M6" s="11">
        <f>G6/((1+K6))</f>
        <v>39.751362962504579</v>
      </c>
      <c r="N6" s="5">
        <f t="shared" si="1"/>
        <v>1.280792163693284</v>
      </c>
      <c r="O6" s="11">
        <f>M6*K6</f>
        <v>5.2186370374954203</v>
      </c>
      <c r="P6" s="5">
        <f t="shared" si="2"/>
        <v>0.16828959263769985</v>
      </c>
      <c r="Q6" s="11">
        <f t="shared" si="7"/>
        <v>44.97</v>
      </c>
      <c r="R6" s="11">
        <v>0.85350000000000037</v>
      </c>
      <c r="S6" s="5">
        <v>1.4142135623730951E-4</v>
      </c>
      <c r="T6" s="11">
        <f>M6/R6</f>
        <v>46.574531883426552</v>
      </c>
      <c r="U6" s="5">
        <f t="shared" si="8"/>
        <v>1.5006550672213312</v>
      </c>
      <c r="V6" s="11">
        <f>SUM($T$2:T6)</f>
        <v>50.745322072489934</v>
      </c>
      <c r="W6" s="5">
        <f>SQRT((U6^2)+(U5^2)+(U4^2)+(U3^2)+(U2^2))</f>
        <v>2.1213947082780766</v>
      </c>
      <c r="X6" s="11">
        <f t="shared" si="9"/>
        <v>0.66252271604174295</v>
      </c>
      <c r="Y6" s="5">
        <f t="shared" si="10"/>
        <v>2.1346536061554733E-2</v>
      </c>
      <c r="Z6" s="5">
        <f t="shared" si="11"/>
        <v>4.5567460182725664E-4</v>
      </c>
      <c r="AA6" s="11">
        <f>(C6-$AE$6)*24</f>
        <v>181.48333333327901</v>
      </c>
      <c r="AB6" s="17">
        <f t="shared" si="12"/>
        <v>0.99950150897205525</v>
      </c>
      <c r="AC6" s="11">
        <f t="shared" si="13"/>
        <v>0.66285314238606741</v>
      </c>
      <c r="AE6" s="1">
        <v>43356.5</v>
      </c>
    </row>
    <row r="7" spans="1:31" x14ac:dyDescent="0.25">
      <c r="A7" s="29" t="s">
        <v>22</v>
      </c>
      <c r="B7" s="26">
        <v>43363.542534953704</v>
      </c>
      <c r="C7" s="13">
        <v>43364.084722222222</v>
      </c>
      <c r="D7" s="14">
        <v>149.41999999999999</v>
      </c>
      <c r="E7" s="15">
        <v>1.51</v>
      </c>
      <c r="F7" s="5">
        <f t="shared" si="3"/>
        <v>2.2562419999999999</v>
      </c>
      <c r="G7" s="11">
        <f t="shared" si="0"/>
        <v>141.51</v>
      </c>
      <c r="H7" s="5">
        <f t="shared" si="14"/>
        <v>2.3199945821186736</v>
      </c>
      <c r="I7" s="16">
        <f t="shared" si="4"/>
        <v>13.012494444439653</v>
      </c>
      <c r="J7" s="10">
        <f t="shared" si="5"/>
        <v>1.6666666666666666E-2</v>
      </c>
      <c r="K7" s="11">
        <f>1-EXP(-$AE$3*I7)</f>
        <v>0.13661847727050691</v>
      </c>
      <c r="L7" s="5">
        <f t="shared" si="6"/>
        <v>1.7498371514372367E-4</v>
      </c>
      <c r="M7" s="11">
        <f>G7/((1+K7))</f>
        <v>124.50087943302159</v>
      </c>
      <c r="N7" s="5">
        <f t="shared" si="1"/>
        <v>2.0473570201805527</v>
      </c>
      <c r="O7" s="11">
        <f>M7*K7</f>
        <v>17.009120566978382</v>
      </c>
      <c r="P7" s="5">
        <f t="shared" si="2"/>
        <v>0.28055392825683351</v>
      </c>
      <c r="Q7" s="11">
        <f t="shared" si="7"/>
        <v>141.51</v>
      </c>
      <c r="R7" s="11">
        <v>0.76809999999999956</v>
      </c>
      <c r="S7" s="5">
        <v>1.4142135623730951E-4</v>
      </c>
      <c r="T7" s="11">
        <f>M7/R7</f>
        <v>162.08941470254089</v>
      </c>
      <c r="U7" s="5">
        <f t="shared" si="8"/>
        <v>2.6656494499088024</v>
      </c>
      <c r="V7" s="11">
        <f>SUM($T$2:T7)</f>
        <v>212.83473677503082</v>
      </c>
      <c r="W7" s="5">
        <f>SQRT((U7^2)+(U6^2)+(U5^2)+(U4^2)+(U3^2)+(U2^2))</f>
        <v>3.4067583562837749</v>
      </c>
      <c r="X7" s="11">
        <f t="shared" si="9"/>
        <v>2.0750146572170265</v>
      </c>
      <c r="Y7" s="5">
        <f t="shared" si="10"/>
        <v>3.4122617003009212E-2</v>
      </c>
      <c r="Z7" s="5">
        <f t="shared" si="11"/>
        <v>1.1643529911340533E-3</v>
      </c>
      <c r="AA7" s="11">
        <f>(C7-$AE$6)*24</f>
        <v>182.03333333332557</v>
      </c>
      <c r="AB7" s="17">
        <f t="shared" si="12"/>
        <v>0.99949999863220074</v>
      </c>
      <c r="AC7" s="11">
        <f t="shared" si="13"/>
        <v>2.0760526863998496</v>
      </c>
    </row>
    <row r="8" spans="1:31" x14ac:dyDescent="0.25">
      <c r="A8" s="29" t="s">
        <v>23</v>
      </c>
      <c r="B8" s="26">
        <v>43363.542708622685</v>
      </c>
      <c r="C8" s="13">
        <v>43364.107638888891</v>
      </c>
      <c r="D8" s="14">
        <v>155.59</v>
      </c>
      <c r="E8" s="15">
        <v>1.48</v>
      </c>
      <c r="F8" s="5">
        <f t="shared" si="3"/>
        <v>2.3027320000000002</v>
      </c>
      <c r="G8" s="11">
        <f t="shared" si="0"/>
        <v>147.68</v>
      </c>
      <c r="H8" s="5">
        <f t="shared" si="14"/>
        <v>2.3652318199956639</v>
      </c>
      <c r="I8" s="16">
        <f t="shared" si="4"/>
        <v>13.558326388942078</v>
      </c>
      <c r="J8" s="10">
        <f t="shared" si="5"/>
        <v>1.6666666666666666E-2</v>
      </c>
      <c r="K8" s="11">
        <f>1-EXP(-$AE$3*I8)</f>
        <v>0.141922207575787</v>
      </c>
      <c r="L8" s="5">
        <f t="shared" si="6"/>
        <v>1.7445885711914037E-4</v>
      </c>
      <c r="M8" s="11">
        <f>G8/((1+K8))</f>
        <v>129.32579734438593</v>
      </c>
      <c r="N8" s="5">
        <f t="shared" si="1"/>
        <v>2.0773641500094575</v>
      </c>
      <c r="O8" s="11">
        <f>M8*K8</f>
        <v>18.354202655614102</v>
      </c>
      <c r="P8" s="5">
        <f t="shared" si="2"/>
        <v>0.29568614911137936</v>
      </c>
      <c r="Q8" s="11">
        <f t="shared" si="7"/>
        <v>147.68000000000004</v>
      </c>
      <c r="R8" s="11">
        <v>0.82860000000000067</v>
      </c>
      <c r="S8" s="5">
        <v>1.4142135623730951E-4</v>
      </c>
      <c r="T8" s="11">
        <f>M8/R8</f>
        <v>156.07747688195249</v>
      </c>
      <c r="U8" s="5">
        <f t="shared" si="8"/>
        <v>2.5072186960490894</v>
      </c>
      <c r="V8" s="11">
        <f>SUM($T$2:T8)</f>
        <v>368.91221365698334</v>
      </c>
      <c r="W8" s="5">
        <f>SQRT((U8^2)+(U7^2)+(U6^2)+(U5^2)+(U4^2)+(U3^2)+(U2^2))</f>
        <v>4.2299111205706703</v>
      </c>
      <c r="X8" s="11">
        <f t="shared" si="9"/>
        <v>2.1554299557397654</v>
      </c>
      <c r="Y8" s="5">
        <f t="shared" si="10"/>
        <v>3.4622735833490952E-2</v>
      </c>
      <c r="Z8" s="5">
        <f t="shared" si="11"/>
        <v>1.1987338365956983E-3</v>
      </c>
      <c r="AA8" s="11">
        <f>(C8-$AE$6)*24</f>
        <v>182.58333333337214</v>
      </c>
      <c r="AB8" s="17">
        <f t="shared" si="12"/>
        <v>0.9994984882946284</v>
      </c>
      <c r="AC8" s="11">
        <f t="shared" si="13"/>
        <v>2.1565114714854836</v>
      </c>
      <c r="AE8" t="s">
        <v>15</v>
      </c>
    </row>
    <row r="9" spans="1:31" x14ac:dyDescent="0.25">
      <c r="A9" s="29" t="s">
        <v>24</v>
      </c>
      <c r="B9" s="26">
        <v>43363.542882291666</v>
      </c>
      <c r="C9" s="13">
        <v>43364.130555555559</v>
      </c>
      <c r="D9" s="14">
        <v>101.61</v>
      </c>
      <c r="E9" s="15">
        <v>1.83</v>
      </c>
      <c r="F9" s="5">
        <f t="shared" si="3"/>
        <v>1.8594630000000001</v>
      </c>
      <c r="G9" s="11">
        <f t="shared" si="0"/>
        <v>93.7</v>
      </c>
      <c r="H9" s="5">
        <f t="shared" si="14"/>
        <v>1.9363237195430418</v>
      </c>
      <c r="I9" s="16">
        <f t="shared" si="4"/>
        <v>14.104158333444502</v>
      </c>
      <c r="J9" s="10">
        <f t="shared" si="5"/>
        <v>1.6666666666666666E-2</v>
      </c>
      <c r="K9" s="11">
        <f>1-EXP(-$AE$3*I9)</f>
        <v>0.14719335720333582</v>
      </c>
      <c r="L9" s="5">
        <f t="shared" si="6"/>
        <v>1.7393612309629211E-4</v>
      </c>
      <c r="M9" s="11">
        <f>G9/((1+K9))</f>
        <v>81.677599867231464</v>
      </c>
      <c r="N9" s="5">
        <f t="shared" si="1"/>
        <v>1.6906364191890466</v>
      </c>
      <c r="O9" s="11">
        <f>M9*K9</f>
        <v>12.022400132768535</v>
      </c>
      <c r="P9" s="5">
        <f t="shared" si="2"/>
        <v>0.24925564495163455</v>
      </c>
      <c r="Q9" s="11">
        <f t="shared" si="7"/>
        <v>93.7</v>
      </c>
      <c r="R9" s="11">
        <v>0.8008999999999995</v>
      </c>
      <c r="S9" s="5">
        <v>1.4142135623730951E-4</v>
      </c>
      <c r="T9" s="11">
        <f>M9/R9</f>
        <v>101.98226978053628</v>
      </c>
      <c r="U9" s="5">
        <f t="shared" si="8"/>
        <v>2.1109975473011535</v>
      </c>
      <c r="V9" s="11">
        <f>SUM($T$2:T9)</f>
        <v>470.89448343751963</v>
      </c>
      <c r="W9" s="5">
        <f>SQRT((U9^2)+(U8^2)+(U7^2)+(U6^2)+(U5^2)+(U4^2)+(U3^2)+(U2^2))</f>
        <v>4.7274156505049261</v>
      </c>
      <c r="X9" s="11">
        <f t="shared" si="9"/>
        <v>1.3612933311205244</v>
      </c>
      <c r="Y9" s="5">
        <f t="shared" si="10"/>
        <v>2.8177273653150779E-2</v>
      </c>
      <c r="Z9" s="5">
        <f t="shared" si="11"/>
        <v>7.9395875052454506E-4</v>
      </c>
      <c r="AA9" s="11">
        <f>(C9-$AE$6)*24</f>
        <v>183.1333333334187</v>
      </c>
      <c r="AB9" s="17">
        <f t="shared" si="12"/>
        <v>0.99949697795933823</v>
      </c>
      <c r="AC9" s="11">
        <f t="shared" si="13"/>
        <v>1.3619784362928857</v>
      </c>
      <c r="AE9">
        <f>LN(2)/252288</f>
        <v>2.7474441137110973E-6</v>
      </c>
    </row>
    <row r="10" spans="1:31" x14ac:dyDescent="0.25">
      <c r="A10" s="29" t="s">
        <v>25</v>
      </c>
      <c r="B10" s="26">
        <v>43363.543055960647</v>
      </c>
      <c r="C10" s="13">
        <v>43364.15347222222</v>
      </c>
      <c r="D10" s="14">
        <v>55.44</v>
      </c>
      <c r="E10" s="15">
        <v>2.48</v>
      </c>
      <c r="F10" s="5">
        <f t="shared" si="3"/>
        <v>1.3749119999999999</v>
      </c>
      <c r="G10" s="11">
        <f t="shared" si="0"/>
        <v>47.53</v>
      </c>
      <c r="H10" s="5">
        <f t="shared" si="14"/>
        <v>1.4772034071988867</v>
      </c>
      <c r="I10" s="16">
        <f t="shared" si="4"/>
        <v>14.649990277772304</v>
      </c>
      <c r="J10" s="10">
        <f t="shared" si="5"/>
        <v>1.6666666666666666E-2</v>
      </c>
      <c r="K10" s="11">
        <f>1-EXP(-$AE$3*I10)</f>
        <v>0.15243212629374103</v>
      </c>
      <c r="L10" s="5">
        <f t="shared" si="6"/>
        <v>1.7341550335931924E-4</v>
      </c>
      <c r="M10" s="11">
        <f>G10/((1+K10))</f>
        <v>41.243209830376756</v>
      </c>
      <c r="N10" s="5">
        <f t="shared" si="1"/>
        <v>1.2826722780948698</v>
      </c>
      <c r="O10" s="11">
        <f>M10*K10</f>
        <v>6.2867901696232513</v>
      </c>
      <c r="P10" s="5">
        <f t="shared" si="2"/>
        <v>0.19565123425661177</v>
      </c>
      <c r="Q10" s="11">
        <f t="shared" si="7"/>
        <v>47.530000000000008</v>
      </c>
      <c r="R10" s="11">
        <v>0.80949999999999989</v>
      </c>
      <c r="S10" s="5">
        <v>1.4142135623730951E-4</v>
      </c>
      <c r="T10" s="11">
        <f>M10/R10</f>
        <v>50.948992996141769</v>
      </c>
      <c r="U10" s="5">
        <f t="shared" si="8"/>
        <v>1.5845491233746731</v>
      </c>
      <c r="V10" s="11">
        <f>SUM($T$2:T10)</f>
        <v>521.84347643366141</v>
      </c>
      <c r="W10" s="5">
        <f>SQRT((U10^2)+(U9^2)+(U8^2)+(U7^2)+(U6^2)+(U5^2)+(U4^2)+(U3^2)+(U2^2))</f>
        <v>4.985905600492889</v>
      </c>
      <c r="X10" s="11">
        <f t="shared" si="9"/>
        <v>0.68738683050627924</v>
      </c>
      <c r="Y10" s="5">
        <f t="shared" si="10"/>
        <v>2.1377871301581162E-2</v>
      </c>
      <c r="Z10" s="5">
        <f t="shared" si="11"/>
        <v>4.5701338138696745E-4</v>
      </c>
      <c r="AA10" s="11">
        <f>(C10-$AE$6)*24</f>
        <v>183.68333333329065</v>
      </c>
      <c r="AB10" s="17">
        <f t="shared" si="12"/>
        <v>0.9994954676263309</v>
      </c>
      <c r="AC10" s="11">
        <f t="shared" si="13"/>
        <v>0.68773381448015147</v>
      </c>
    </row>
    <row r="11" spans="1:31" x14ac:dyDescent="0.25">
      <c r="A11" s="29" t="s">
        <v>26</v>
      </c>
      <c r="B11" s="26">
        <v>43363.543229629628</v>
      </c>
      <c r="C11" s="13">
        <v>43364.175000000003</v>
      </c>
      <c r="D11" s="14">
        <v>29.85</v>
      </c>
      <c r="E11" s="15">
        <v>3.38</v>
      </c>
      <c r="F11" s="5">
        <f t="shared" si="3"/>
        <v>1.0089299999999999</v>
      </c>
      <c r="G11" s="11">
        <f t="shared" si="0"/>
        <v>21.94</v>
      </c>
      <c r="H11" s="5">
        <f t="shared" si="14"/>
        <v>1.144415415570762</v>
      </c>
      <c r="I11" s="16">
        <f t="shared" si="4"/>
        <v>15.162488889007363</v>
      </c>
      <c r="J11" s="10">
        <f t="shared" si="5"/>
        <v>1.6666666666666666E-2</v>
      </c>
      <c r="K11" s="11">
        <f>1-EXP(-$AE$3*I11)</f>
        <v>0.15732167238383377</v>
      </c>
      <c r="L11" s="5">
        <f t="shared" si="6"/>
        <v>1.7292859320509297E-4</v>
      </c>
      <c r="M11" s="11">
        <f>G11/((1+K11))</f>
        <v>18.957564282718668</v>
      </c>
      <c r="N11" s="5">
        <f t="shared" si="1"/>
        <v>0.98906770809460609</v>
      </c>
      <c r="O11" s="11">
        <f>M11*K11</f>
        <v>2.9824357172813349</v>
      </c>
      <c r="P11" s="5">
        <f t="shared" si="2"/>
        <v>0.15563631668202232</v>
      </c>
      <c r="Q11" s="11">
        <f t="shared" si="7"/>
        <v>21.94</v>
      </c>
      <c r="R11" s="11">
        <v>0.80629999999999935</v>
      </c>
      <c r="S11" s="5">
        <v>1.4142135623730951E-4</v>
      </c>
      <c r="T11" s="11">
        <f>M11/R11</f>
        <v>23.51179992895781</v>
      </c>
      <c r="U11" s="5">
        <f t="shared" si="8"/>
        <v>1.2266815046860828</v>
      </c>
      <c r="V11" s="11">
        <f>SUM($T$2:T11)</f>
        <v>545.35527636261918</v>
      </c>
      <c r="W11" s="5">
        <f>SQRT((U11^2)+(U10^2)+(U9^2)+(U8^2)+(U7^2)+(U6^2)+(U5^2)+(U4^2)+(U3^2)+(U2^2))</f>
        <v>5.1345888025201463</v>
      </c>
      <c r="X11" s="11">
        <f t="shared" si="9"/>
        <v>0.31595940471197781</v>
      </c>
      <c r="Y11" s="5">
        <f t="shared" si="10"/>
        <v>1.6484461801576769E-2</v>
      </c>
      <c r="Z11" s="5">
        <f t="shared" si="11"/>
        <v>2.7173748088764359E-4</v>
      </c>
      <c r="AA11" s="11">
        <f>(C11-$AE$6)*24</f>
        <v>184.20000000006985</v>
      </c>
      <c r="AB11" s="17">
        <f t="shared" si="12"/>
        <v>0.99949404883073567</v>
      </c>
      <c r="AC11" s="11">
        <f t="shared" si="13"/>
        <v>0.31611934566454386</v>
      </c>
    </row>
    <row r="12" spans="1:31" x14ac:dyDescent="0.25">
      <c r="A12" s="29" t="s">
        <v>27</v>
      </c>
      <c r="B12" s="26">
        <v>43363.543403298609</v>
      </c>
      <c r="C12" s="13">
        <v>43364.197916666664</v>
      </c>
      <c r="D12" s="14">
        <v>18.28</v>
      </c>
      <c r="E12" s="15">
        <v>4.32</v>
      </c>
      <c r="F12" s="5">
        <f t="shared" si="3"/>
        <v>0.78969600000000006</v>
      </c>
      <c r="G12" s="11">
        <f t="shared" si="0"/>
        <v>10.370000000000001</v>
      </c>
      <c r="H12" s="5">
        <f t="shared" si="14"/>
        <v>0.95674796624398428</v>
      </c>
      <c r="I12" s="16">
        <f t="shared" si="4"/>
        <v>15.708320833335165</v>
      </c>
      <c r="J12" s="10">
        <f t="shared" si="5"/>
        <v>1.6666666666666666E-2</v>
      </c>
      <c r="K12" s="11">
        <f>1-EXP(-$AE$3*I12)</f>
        <v>0.16249822349674825</v>
      </c>
      <c r="L12" s="5">
        <f t="shared" si="6"/>
        <v>1.7241204541725556E-4</v>
      </c>
      <c r="M12" s="11">
        <f>G12/((1+K12))</f>
        <v>8.9204437395245684</v>
      </c>
      <c r="N12" s="5">
        <f t="shared" si="1"/>
        <v>0.82306468126869892</v>
      </c>
      <c r="O12" s="11">
        <f>M12*K12</f>
        <v>1.449556260475432</v>
      </c>
      <c r="P12" s="5">
        <f t="shared" si="2"/>
        <v>0.13375539115371621</v>
      </c>
      <c r="Q12" s="11">
        <f t="shared" si="7"/>
        <v>10.370000000000001</v>
      </c>
      <c r="R12" s="11">
        <v>0.80959999999999965</v>
      </c>
      <c r="S12" s="5">
        <v>1.4142135623730951E-4</v>
      </c>
      <c r="T12" s="11">
        <f>M12/R12</f>
        <v>11.018334658503671</v>
      </c>
      <c r="U12" s="5">
        <f t="shared" si="8"/>
        <v>1.0166330981812297</v>
      </c>
      <c r="V12" s="11">
        <f>SUM($T$2:T12)</f>
        <v>556.37361102112288</v>
      </c>
      <c r="W12" s="5">
        <f>SQRT((U12^2)+(U11^2)+(U10^2)+(U9^2)+(U8^2)+(U7^2)+(U6^2)+(U5^2)+(U4^2)+(U3^2)+(U2^2))</f>
        <v>5.2342664268532255</v>
      </c>
      <c r="X12" s="11">
        <f t="shared" si="9"/>
        <v>0.14867406232540947</v>
      </c>
      <c r="Y12" s="5">
        <f t="shared" si="10"/>
        <v>1.3717744687811648E-2</v>
      </c>
      <c r="Z12" s="5">
        <f t="shared" si="11"/>
        <v>1.8817651931998469E-4</v>
      </c>
      <c r="AA12" s="11">
        <f>(C12-$AE$6)*24</f>
        <v>184.74999999994179</v>
      </c>
      <c r="AB12" s="17">
        <f t="shared" si="12"/>
        <v>0.99949253850215458</v>
      </c>
      <c r="AC12" s="11">
        <f t="shared" si="13"/>
        <v>0.14874954699333054</v>
      </c>
    </row>
    <row r="13" spans="1:31" x14ac:dyDescent="0.25">
      <c r="A13" s="29" t="s">
        <v>28</v>
      </c>
      <c r="B13" s="26">
        <v>43363.54357696759</v>
      </c>
      <c r="C13" s="13">
        <v>43364.220833217594</v>
      </c>
      <c r="D13" s="14">
        <v>13</v>
      </c>
      <c r="E13" s="15">
        <v>5.12</v>
      </c>
      <c r="F13" s="5">
        <f t="shared" si="3"/>
        <v>0.66560000000000008</v>
      </c>
      <c r="G13" s="11">
        <f t="shared" si="0"/>
        <v>5.09</v>
      </c>
      <c r="H13" s="5">
        <f t="shared" si="14"/>
        <v>0.85718741153612377</v>
      </c>
      <c r="I13" s="16">
        <f t="shared" si="4"/>
        <v>16.254150000109803</v>
      </c>
      <c r="J13" s="10">
        <f t="shared" si="5"/>
        <v>1.6666666666666666E-2</v>
      </c>
      <c r="K13" s="11">
        <f>1-EXP(-$AE$3*I13)</f>
        <v>0.16764294909110633</v>
      </c>
      <c r="L13" s="5">
        <f t="shared" si="6"/>
        <v>1.7189758624717774E-4</v>
      </c>
      <c r="M13" s="11">
        <f>G13/((1+K13))</f>
        <v>4.3592092976385093</v>
      </c>
      <c r="N13" s="5">
        <f t="shared" si="1"/>
        <v>0.73413135508274485</v>
      </c>
      <c r="O13" s="11">
        <f>M13*K13</f>
        <v>0.73079070236149002</v>
      </c>
      <c r="P13" s="5">
        <f t="shared" si="2"/>
        <v>0.12307422657870676</v>
      </c>
      <c r="Q13" s="11">
        <f t="shared" si="7"/>
        <v>5.089999999999999</v>
      </c>
      <c r="R13" s="11">
        <v>0.78949999999999942</v>
      </c>
      <c r="S13" s="5">
        <v>1.4142135623730951E-4</v>
      </c>
      <c r="T13" s="11">
        <f>M13/R13</f>
        <v>5.5214810609734171</v>
      </c>
      <c r="U13" s="5">
        <f t="shared" si="8"/>
        <v>0.92986924681338912</v>
      </c>
      <c r="V13" s="11">
        <f>SUM($T$2:T13)</f>
        <v>561.89509208209631</v>
      </c>
      <c r="W13" s="5">
        <f>SQRT((U13^2)+(U12^2)+(U11^2)+(U10^2)+(U9^2)+(U8^2)+(U7^2)+(U6^2)+(U5^2)+(U4^2)+(U3^2)+(U2^2))</f>
        <v>5.3162206353246972</v>
      </c>
      <c r="X13" s="11">
        <f t="shared" si="9"/>
        <v>7.2653488293975152E-2</v>
      </c>
      <c r="Y13" s="5">
        <f t="shared" si="10"/>
        <v>1.2235522584712413E-2</v>
      </c>
      <c r="Z13" s="5">
        <f t="shared" si="11"/>
        <v>1.4970801292100752E-4</v>
      </c>
      <c r="AA13" s="11">
        <f>(C13-$AE$6)*24</f>
        <v>185.29999722226057</v>
      </c>
      <c r="AB13" s="17">
        <f t="shared" si="12"/>
        <v>0.9994910281834829</v>
      </c>
      <c r="AC13" s="11">
        <f t="shared" si="13"/>
        <v>7.2690485702526675E-2</v>
      </c>
    </row>
    <row r="14" spans="1:31" x14ac:dyDescent="0.25">
      <c r="A14" s="29" t="s">
        <v>29</v>
      </c>
      <c r="B14" s="26">
        <v>43363.543750636571</v>
      </c>
      <c r="C14" s="13">
        <v>43364.24374982639</v>
      </c>
      <c r="D14" s="14">
        <v>10.27</v>
      </c>
      <c r="E14" s="15">
        <v>5.76</v>
      </c>
      <c r="F14" s="5">
        <f t="shared" si="3"/>
        <v>0.59155199999999997</v>
      </c>
      <c r="G14" s="11">
        <f t="shared" si="0"/>
        <v>2.3599999999999994</v>
      </c>
      <c r="H14" s="5">
        <f t="shared" si="14"/>
        <v>0.80104972829406784</v>
      </c>
      <c r="I14" s="16">
        <f t="shared" si="4"/>
        <v>16.799980555661023</v>
      </c>
      <c r="J14" s="10">
        <f t="shared" si="5"/>
        <v>1.6666666666666666E-2</v>
      </c>
      <c r="K14" s="11">
        <f>1-EXP(-$AE$3*I14)</f>
        <v>0.17275608389938069</v>
      </c>
      <c r="L14" s="5">
        <f t="shared" si="6"/>
        <v>1.7138520222985987E-4</v>
      </c>
      <c r="M14" s="11">
        <f>G14/((1+K14))</f>
        <v>2.0123536619422739</v>
      </c>
      <c r="N14" s="5">
        <f t="shared" si="1"/>
        <v>0.68305179633515145</v>
      </c>
      <c r="O14" s="11">
        <f>M14*K14</f>
        <v>0.34764633805772543</v>
      </c>
      <c r="P14" s="5">
        <f t="shared" si="2"/>
        <v>0.11800185744320252</v>
      </c>
      <c r="Q14" s="11">
        <f t="shared" si="7"/>
        <v>2.3599999999999994</v>
      </c>
      <c r="R14" s="11">
        <v>0.87139999999999951</v>
      </c>
      <c r="S14" s="5">
        <v>1.4142135623730951E-4</v>
      </c>
      <c r="T14" s="11">
        <f>M14/R14</f>
        <v>2.3093340164588883</v>
      </c>
      <c r="U14" s="5">
        <f t="shared" si="8"/>
        <v>0.78385572000408898</v>
      </c>
      <c r="V14" s="11">
        <f>SUM($T$2:T14)</f>
        <v>564.20442609855525</v>
      </c>
      <c r="W14" s="5">
        <f>SQRT((U14^2)+(U13^2)+(U12^2)+(U11^2)+(U10^2)+(U9^2)+(U8^2)+(U7^2)+(U6^2)+(U5^2)+(U4^2)+(U3^2)+(U2^2))</f>
        <v>5.3736981338027592</v>
      </c>
      <c r="X14" s="11">
        <f t="shared" si="9"/>
        <v>3.3539227699037902E-2</v>
      </c>
      <c r="Y14" s="5">
        <f t="shared" si="10"/>
        <v>1.1384196605585858E-2</v>
      </c>
      <c r="Z14" s="5">
        <f t="shared" si="11"/>
        <v>1.2959993235463259E-4</v>
      </c>
      <c r="AA14" s="11">
        <f>(C14-$AE$6)*24</f>
        <v>185.84999583335593</v>
      </c>
      <c r="AB14" s="17">
        <f t="shared" si="12"/>
        <v>0.99948951786327989</v>
      </c>
      <c r="AC14" s="11">
        <f t="shared" si="13"/>
        <v>3.3556357620176391E-2</v>
      </c>
    </row>
    <row r="15" spans="1:31" x14ac:dyDescent="0.25">
      <c r="A15" s="29" t="s">
        <v>30</v>
      </c>
      <c r="B15" s="26">
        <v>43363.543924305559</v>
      </c>
      <c r="C15" s="13">
        <v>43364.266666435185</v>
      </c>
      <c r="D15" s="14">
        <v>8.9700000000000006</v>
      </c>
      <c r="E15" s="15">
        <v>6.17</v>
      </c>
      <c r="F15" s="5">
        <f t="shared" si="3"/>
        <v>0.55344899999999997</v>
      </c>
      <c r="G15" s="11">
        <f t="shared" si="0"/>
        <v>1.0600000000000005</v>
      </c>
      <c r="H15" s="5">
        <f t="shared" si="14"/>
        <v>0.77333866714202248</v>
      </c>
      <c r="I15" s="16">
        <f t="shared" si="4"/>
        <v>17.345811111037619</v>
      </c>
      <c r="J15" s="10">
        <f t="shared" si="5"/>
        <v>1.6666666666666666E-2</v>
      </c>
      <c r="K15" s="11">
        <f>1-EXP(-$AE$3*I15)</f>
        <v>0.17783780893117984</v>
      </c>
      <c r="L15" s="5">
        <f t="shared" si="6"/>
        <v>1.7087488519347928E-4</v>
      </c>
      <c r="M15" s="11">
        <f>G15/((1+K15))</f>
        <v>0.89995412947550868</v>
      </c>
      <c r="N15" s="5">
        <f t="shared" si="1"/>
        <v>0.65657540619374566</v>
      </c>
      <c r="O15" s="11">
        <f>M15*K15</f>
        <v>0.16004587052449179</v>
      </c>
      <c r="P15" s="5">
        <f t="shared" si="2"/>
        <v>0.11676403290035231</v>
      </c>
      <c r="Q15" s="11">
        <f t="shared" si="7"/>
        <v>1.0600000000000005</v>
      </c>
      <c r="R15" s="11">
        <v>0.7583000000000002</v>
      </c>
      <c r="S15" s="5">
        <v>1.4142135623730951E-4</v>
      </c>
      <c r="T15" s="11">
        <f>M15/R15</f>
        <v>1.1868048654562948</v>
      </c>
      <c r="U15" s="5">
        <f t="shared" si="8"/>
        <v>0.86585181016227497</v>
      </c>
      <c r="V15" s="11">
        <f>SUM($T$2:T15)</f>
        <v>565.39123096401158</v>
      </c>
      <c r="W15" s="5">
        <f>SQRT((U15^2)+(U14^2)+(U13^2)+(U12^2)+(U11^2)+(U10^2)+(U9^2)+(U8^2)+(U7^2)+(U6^2)+(U5^2)+(U4^2)+(U3^2)+(U2^2))</f>
        <v>5.443007531723298</v>
      </c>
      <c r="X15" s="11">
        <f t="shared" si="9"/>
        <v>1.4999235491258478E-2</v>
      </c>
      <c r="Y15" s="5">
        <f t="shared" si="10"/>
        <v>1.0942923436562427E-2</v>
      </c>
      <c r="Z15" s="5">
        <f t="shared" si="11"/>
        <v>1.1974757333846724E-4</v>
      </c>
      <c r="AA15" s="11">
        <f>(C15-$AE$6)*24</f>
        <v>186.39999444445129</v>
      </c>
      <c r="AB15" s="17">
        <f t="shared" si="12"/>
        <v>0.99948800754535905</v>
      </c>
      <c r="AC15" s="11">
        <f t="shared" si="13"/>
        <v>1.5006918920513189E-2</v>
      </c>
    </row>
    <row r="16" spans="1:31" x14ac:dyDescent="0.25">
      <c r="A16" s="29" t="s">
        <v>31</v>
      </c>
      <c r="B16" s="26">
        <v>43363.54409797454</v>
      </c>
      <c r="C16" s="13">
        <v>43364.289583043981</v>
      </c>
      <c r="D16" s="14">
        <v>8.6999999999999993</v>
      </c>
      <c r="E16" s="15">
        <v>6.26</v>
      </c>
      <c r="F16" s="5">
        <f t="shared" si="3"/>
        <v>0.54461999999999999</v>
      </c>
      <c r="G16" s="11">
        <f t="shared" si="0"/>
        <v>0.78999999999999915</v>
      </c>
      <c r="H16" s="5">
        <f t="shared" si="14"/>
        <v>0.76704487671582811</v>
      </c>
      <c r="I16" s="16">
        <f t="shared" si="4"/>
        <v>17.891641666588839</v>
      </c>
      <c r="J16" s="10">
        <f t="shared" si="5"/>
        <v>1.6666666666666666E-2</v>
      </c>
      <c r="K16" s="11">
        <f>1-EXP(-$AE$3*I16)</f>
        <v>0.18288831713869813</v>
      </c>
      <c r="L16" s="5">
        <f t="shared" si="6"/>
        <v>1.7036662570044922E-4</v>
      </c>
      <c r="M16" s="11">
        <f>G16/((1+K16))</f>
        <v>0.66785679472339288</v>
      </c>
      <c r="N16" s="5">
        <f t="shared" si="1"/>
        <v>0.64845109941752743</v>
      </c>
      <c r="O16" s="11">
        <f>M16*K16</f>
        <v>0.1221432052766063</v>
      </c>
      <c r="P16" s="5">
        <f t="shared" si="2"/>
        <v>0.11859418490033122</v>
      </c>
      <c r="Q16" s="11">
        <f t="shared" si="7"/>
        <v>0.78999999999999915</v>
      </c>
      <c r="R16" s="11">
        <v>0.88400000000000034</v>
      </c>
      <c r="S16" s="5">
        <v>1.4142135623730951E-4</v>
      </c>
      <c r="T16" s="11">
        <f>M16/R16</f>
        <v>0.75549411167804592</v>
      </c>
      <c r="U16" s="5">
        <f t="shared" si="8"/>
        <v>0.73354197762398132</v>
      </c>
      <c r="V16" s="11">
        <f>SUM($T$2:T16)</f>
        <v>566.14672507568957</v>
      </c>
      <c r="W16" s="5">
        <f>SQRT((U16^2)+(U15^2)+(U14^2)+(U13^2)+(U12^2)+(U11^2)+(U10^2)+(U9^2)+(U8^2)+(U7^2)+(U6^2)+(U5^2)+(U4^2)+(U3^2)+(U2^2))</f>
        <v>5.4922140183475232</v>
      </c>
      <c r="X16" s="11">
        <f t="shared" si="9"/>
        <v>1.1130946578723214E-2</v>
      </c>
      <c r="Y16" s="5">
        <f t="shared" si="10"/>
        <v>1.0807518323625457E-2</v>
      </c>
      <c r="Z16" s="5">
        <f t="shared" si="11"/>
        <v>1.1680245231549999E-4</v>
      </c>
      <c r="AA16" s="11">
        <f>(C16-$AE$6)*24</f>
        <v>186.94999305554666</v>
      </c>
      <c r="AB16" s="17">
        <f t="shared" si="12"/>
        <v>0.99948649722972049</v>
      </c>
      <c r="AC16" s="11">
        <f t="shared" si="13"/>
        <v>1.1136665287199867E-2</v>
      </c>
    </row>
    <row r="17" spans="1:29" x14ac:dyDescent="0.25">
      <c r="A17" s="29" t="s">
        <v>32</v>
      </c>
      <c r="B17" s="26">
        <v>43363.544271643521</v>
      </c>
      <c r="C17" s="13">
        <v>43364.312499652777</v>
      </c>
      <c r="D17" s="14">
        <v>8.56</v>
      </c>
      <c r="E17" s="15">
        <v>6.31</v>
      </c>
      <c r="F17" s="5">
        <f t="shared" si="3"/>
        <v>0.54013599999999995</v>
      </c>
      <c r="G17" s="11">
        <f t="shared" si="0"/>
        <v>0.65000000000000036</v>
      </c>
      <c r="H17" s="5">
        <f t="shared" si="14"/>
        <v>0.76386765672595403</v>
      </c>
      <c r="I17" s="16">
        <f>(C17-B17)*24</f>
        <v>18.437472222140059</v>
      </c>
      <c r="J17" s="10">
        <f t="shared" si="5"/>
        <v>1.6666666666666666E-2</v>
      </c>
      <c r="K17" s="11">
        <f>1-EXP(-$AE$3*I17)</f>
        <v>0.18790780028397047</v>
      </c>
      <c r="L17" s="5">
        <f t="shared" si="6"/>
        <v>1.698604143597726E-4</v>
      </c>
      <c r="M17" s="11">
        <f>G17/((1+K17))</f>
        <v>0.54718051337369555</v>
      </c>
      <c r="N17" s="5">
        <f t="shared" si="1"/>
        <v>0.64303633878408029</v>
      </c>
      <c r="O17" s="11">
        <f>M17*K17</f>
        <v>0.10281948662630482</v>
      </c>
      <c r="P17" s="5">
        <f t="shared" si="2"/>
        <v>0.12083157967021391</v>
      </c>
      <c r="Q17" s="11">
        <f t="shared" si="7"/>
        <v>0.65000000000000036</v>
      </c>
      <c r="R17" s="11">
        <v>0.74809999999999999</v>
      </c>
      <c r="S17" s="5">
        <v>1.4142135623731E-4</v>
      </c>
      <c r="T17" s="11">
        <f>M17/R17</f>
        <v>0.73142696614583014</v>
      </c>
      <c r="U17" s="5">
        <f t="shared" si="8"/>
        <v>0.85955934648276477</v>
      </c>
      <c r="V17" s="11">
        <f>SUM($T$2:T17)</f>
        <v>566.87815204183539</v>
      </c>
      <c r="W17" s="5">
        <f>SQRT((U17^2)+(U16^2)+(U15^2)+(U14^2)+(U13^2)+(U12^2)+(U11^2)+(U10^2)+(U9^2)+(U8^2)+(U7^2)+(U6^2)+(U5^2)+(U4^2)+(U3^2)+(U2^2))</f>
        <v>5.5590698046938503</v>
      </c>
      <c r="X17" s="11">
        <f t="shared" si="9"/>
        <v>9.1196752228949254E-3</v>
      </c>
      <c r="Y17" s="5">
        <f>X17*SQRT(((N17/M17)^2))</f>
        <v>1.0717272313068005E-2</v>
      </c>
      <c r="Z17" s="5">
        <f>Y17^2</f>
        <v>1.1485992583245404E-4</v>
      </c>
      <c r="AA17" s="11">
        <f>(C17-$AE$6)*24</f>
        <v>187.49999166664202</v>
      </c>
      <c r="AB17" s="17">
        <f t="shared" si="12"/>
        <v>0.99948498691636412</v>
      </c>
      <c r="AC17" s="11">
        <f t="shared" si="13"/>
        <v>9.1243743950883884E-3</v>
      </c>
    </row>
    <row r="18" spans="1:29" x14ac:dyDescent="0.25">
      <c r="A18" s="29" t="s">
        <v>33</v>
      </c>
      <c r="B18" s="26">
        <v>43363.544445312502</v>
      </c>
      <c r="C18" s="13">
        <v>43364.335416261572</v>
      </c>
      <c r="D18" s="14">
        <v>8.01</v>
      </c>
      <c r="E18" s="15">
        <v>6.52</v>
      </c>
      <c r="F18" s="5">
        <f>D18*(E18/100)</f>
        <v>0.52225199999999994</v>
      </c>
      <c r="G18" s="11">
        <f t="shared" si="0"/>
        <v>9.9999999999999645E-2</v>
      </c>
      <c r="H18" s="5">
        <f>SQRT((F18^2)+(F$17^2))</f>
        <v>0.75132819060647515</v>
      </c>
      <c r="I18" s="16">
        <f t="shared" si="4"/>
        <v>18.983302777691279</v>
      </c>
      <c r="J18" s="10">
        <f t="shared" si="5"/>
        <v>1.6666666666666666E-2</v>
      </c>
      <c r="K18" s="11">
        <f>1-EXP(-$AE$3*I18)</f>
        <v>0.19289644895266611</v>
      </c>
      <c r="L18" s="5">
        <f t="shared" si="6"/>
        <v>1.6935624182615311E-4</v>
      </c>
      <c r="M18" s="11">
        <f>G18/((1+K18))</f>
        <v>8.3829573042821279E-2</v>
      </c>
      <c r="N18" s="5">
        <f t="shared" si="1"/>
        <v>0.62983521863599312</v>
      </c>
      <c r="O18" s="11">
        <f>M18*K18</f>
        <v>1.6170426957178369E-2</v>
      </c>
      <c r="P18" s="5">
        <f t="shared" si="2"/>
        <v>0.12149297792970792</v>
      </c>
      <c r="Q18" s="11">
        <f t="shared" si="7"/>
        <v>9.9999999999999645E-2</v>
      </c>
      <c r="R18" s="11">
        <v>0.8158000000000003</v>
      </c>
      <c r="S18" s="5">
        <v>1.4142135623731E-4</v>
      </c>
      <c r="T18" s="11">
        <f>M18/R18</f>
        <v>0.10275750556854774</v>
      </c>
      <c r="U18" s="5">
        <f t="shared" si="8"/>
        <v>0.77204611277720214</v>
      </c>
      <c r="V18" s="11">
        <f>SUM($T$2:T18)</f>
        <v>566.98090954740394</v>
      </c>
      <c r="W18" s="5">
        <f>SQRT((U18^2)+(U17^2)+(U16^2)+(U15^2)+(U14^2)+(U13^2)+(U12^2)+(U11^2)+(U10^2)+(U9^2)+(U8^2)+(U7^2)+(U6^2)+(U5^2)+(U4^2)+(U3^2)+(U2^2))</f>
        <v>5.6124248140811037</v>
      </c>
      <c r="X18" s="11">
        <f t="shared" si="9"/>
        <v>1.397159550713688E-3</v>
      </c>
      <c r="Y18" s="5">
        <f t="shared" ref="Y18:Y22" si="15">X18*SQRT(((N18/M18)^2))</f>
        <v>1.0497253643933219E-2</v>
      </c>
      <c r="Z18" s="5">
        <f t="shared" ref="Z18:Z22" si="16">Y18^2</f>
        <v>1.1019233406506925E-4</v>
      </c>
      <c r="AA18" s="11">
        <f>(C18-$AE$6)*24</f>
        <v>188.04999027773738</v>
      </c>
      <c r="AB18" s="17">
        <f t="shared" si="12"/>
        <v>0.99948347660529002</v>
      </c>
      <c r="AC18" s="11">
        <f t="shared" si="13"/>
        <v>1.3978815892575738E-3</v>
      </c>
    </row>
    <row r="19" spans="1:29" x14ac:dyDescent="0.25">
      <c r="A19" s="29" t="s">
        <v>34</v>
      </c>
      <c r="B19" s="26">
        <v>43363.544618981483</v>
      </c>
      <c r="C19" s="13">
        <v>43364.358332870368</v>
      </c>
      <c r="D19" s="14">
        <v>7.19</v>
      </c>
      <c r="E19" s="15">
        <v>6.88</v>
      </c>
      <c r="F19" s="5">
        <f t="shared" si="3"/>
        <v>0.494672</v>
      </c>
      <c r="G19" s="11">
        <f t="shared" si="0"/>
        <v>-0.71999999999999975</v>
      </c>
      <c r="H19" s="5">
        <f>SQRT((F19^2)+(F$17^2))</f>
        <v>0.73242561812104845</v>
      </c>
      <c r="I19" s="16">
        <f t="shared" si="4"/>
        <v>19.529133333242498</v>
      </c>
      <c r="J19" s="10">
        <f t="shared" si="5"/>
        <v>1.6666666666666666E-2</v>
      </c>
      <c r="K19" s="11">
        <f>1-EXP(-$AE$3*I19)</f>
        <v>0.19785445255969469</v>
      </c>
      <c r="L19" s="5">
        <f t="shared" si="6"/>
        <v>1.6885409879992537E-4</v>
      </c>
      <c r="M19" s="11">
        <f>G19/((1+K19))</f>
        <v>-0.60107469522814905</v>
      </c>
      <c r="N19" s="5">
        <f t="shared" si="1"/>
        <v>-0.61144813905267659</v>
      </c>
      <c r="O19" s="11">
        <f>M19*K19</f>
        <v>-0.11892530477185076</v>
      </c>
      <c r="P19" s="5">
        <f t="shared" si="2"/>
        <v>-0.12097777939492323</v>
      </c>
      <c r="Q19" s="11">
        <f t="shared" si="7"/>
        <v>-0.71999999999999975</v>
      </c>
      <c r="R19" s="11">
        <v>0.77960000000000029</v>
      </c>
      <c r="S19" s="5">
        <v>1.4142135623731E-4</v>
      </c>
      <c r="T19" s="11">
        <f>M19/R19</f>
        <v>-0.77100397027725609</v>
      </c>
      <c r="U19" s="5">
        <f t="shared" si="8"/>
        <v>-0.78431009334868029</v>
      </c>
      <c r="V19" s="11">
        <f>SUM($T$2:T19)</f>
        <v>566.20990557712673</v>
      </c>
      <c r="W19" s="5">
        <f>SQRT((U19^2)+(U18^2)+(U17^2)+(U16^2)+(U15^2)+(U14^2)+(U13^2)+(U12^2)+(U11^2)+(U10^2)+(U9^2)+(U8^2)+(U7^2)+(U6^2)+(U5^2)+(U4^2)+(U3^2)+(U2^2))</f>
        <v>5.6669616741462026</v>
      </c>
      <c r="X19" s="11">
        <f t="shared" si="9"/>
        <v>-1.0017911587135818E-2</v>
      </c>
      <c r="Y19" s="5">
        <f t="shared" si="15"/>
        <v>-1.0190802317544611E-2</v>
      </c>
      <c r="Z19" s="5">
        <f t="shared" si="16"/>
        <v>1.0385245187527261E-4</v>
      </c>
      <c r="AA19" s="11">
        <f>(C19-$AE$6)*24</f>
        <v>188.59998888883274</v>
      </c>
      <c r="AB19" s="17">
        <f t="shared" si="12"/>
        <v>0.99948196629649799</v>
      </c>
      <c r="AC19" s="11">
        <f t="shared" si="13"/>
        <v>-1.0023103892765972E-2</v>
      </c>
    </row>
    <row r="20" spans="1:29" x14ac:dyDescent="0.25">
      <c r="A20" s="29" t="s">
        <v>35</v>
      </c>
      <c r="B20" s="26">
        <v>43363.544792650464</v>
      </c>
      <c r="C20" s="13">
        <v>43364.381249479164</v>
      </c>
      <c r="D20" s="14">
        <v>8.4600000000000009</v>
      </c>
      <c r="E20" s="15">
        <v>6.35</v>
      </c>
      <c r="F20" s="5">
        <f t="shared" si="3"/>
        <v>0.53721000000000008</v>
      </c>
      <c r="G20" s="11">
        <f t="shared" si="0"/>
        <v>0.55000000000000071</v>
      </c>
      <c r="H20" s="5">
        <f t="shared" ref="H20:H22" si="17">SQRT((F20^2)+(F$17^2))</f>
        <v>0.76180147190459013</v>
      </c>
      <c r="I20" s="16">
        <f t="shared" si="4"/>
        <v>20.074963888793718</v>
      </c>
      <c r="J20" s="10">
        <f t="shared" si="5"/>
        <v>1.6666666666666666E-2</v>
      </c>
      <c r="K20" s="11">
        <f>1-EXP(-$AE$3*I20)</f>
        <v>0.20278199935639774</v>
      </c>
      <c r="L20" s="5">
        <f t="shared" si="6"/>
        <v>1.6835397602682202E-4</v>
      </c>
      <c r="M20" s="11">
        <f>G20/((1+K20))</f>
        <v>0.45727322182598573</v>
      </c>
      <c r="N20" s="5">
        <f t="shared" si="1"/>
        <v>0.63336632004900539</v>
      </c>
      <c r="O20" s="11">
        <f>M20*K20</f>
        <v>9.2726778174014951E-2</v>
      </c>
      <c r="P20" s="5">
        <f t="shared" si="2"/>
        <v>0.12843531177646972</v>
      </c>
      <c r="Q20" s="11">
        <f t="shared" si="7"/>
        <v>0.55000000000000071</v>
      </c>
      <c r="R20" s="11">
        <v>0.84089999999999954</v>
      </c>
      <c r="S20" s="5">
        <v>1.4142135623731E-4</v>
      </c>
      <c r="T20" s="11">
        <f>M20/R20</f>
        <v>0.54379025071469378</v>
      </c>
      <c r="U20" s="5">
        <f t="shared" si="8"/>
        <v>0.75320052885935751</v>
      </c>
      <c r="V20" s="11">
        <f>SUM($T$2:T20)</f>
        <v>566.7536958278414</v>
      </c>
      <c r="W20" s="5">
        <f>SQRT((U20^2)+(U19^2)+(U18^2)+(U17^2)+(U16^2)+(U15^2)+(U14^2)+(U13^2)+(U12^2)+(U11^2)+(U10^2)+(U9^2)+(U8^2)+(U7^2)+(U6^2)+(U5^2)+(U4^2)+(U3^2)+(U2^2))</f>
        <v>5.7167968000372333</v>
      </c>
      <c r="X20" s="11">
        <f t="shared" si="9"/>
        <v>7.621220363766429E-3</v>
      </c>
      <c r="Y20" s="5">
        <f t="shared" si="15"/>
        <v>1.0556105334150091E-2</v>
      </c>
      <c r="Z20" s="5">
        <f t="shared" si="16"/>
        <v>1.1143135982567201E-4</v>
      </c>
      <c r="AA20" s="11">
        <f>(C20-$AE$6)*24</f>
        <v>189.1499874999281</v>
      </c>
      <c r="AB20" s="17">
        <f t="shared" si="12"/>
        <v>0.99948045598998836</v>
      </c>
      <c r="AC20" s="11">
        <f t="shared" si="13"/>
        <v>7.6251819813901089E-3</v>
      </c>
    </row>
    <row r="21" spans="1:29" x14ac:dyDescent="0.25">
      <c r="A21" s="29" t="s">
        <v>36</v>
      </c>
      <c r="B21" s="26">
        <v>43363.544966319445</v>
      </c>
      <c r="C21" s="13">
        <v>43364.404166087967</v>
      </c>
      <c r="D21" s="14">
        <v>7.09</v>
      </c>
      <c r="E21" s="15">
        <v>6.93</v>
      </c>
      <c r="F21" s="5">
        <f t="shared" si="3"/>
        <v>0.49133699999999997</v>
      </c>
      <c r="G21" s="11">
        <f t="shared" si="0"/>
        <v>-0.82000000000000028</v>
      </c>
      <c r="H21" s="5">
        <f t="shared" si="17"/>
        <v>0.73017733877805324</v>
      </c>
      <c r="I21" s="16">
        <f t="shared" si="4"/>
        <v>20.620794444519561</v>
      </c>
      <c r="J21" s="10">
        <f t="shared" si="5"/>
        <v>1.6666666666666666E-2</v>
      </c>
      <c r="K21" s="11">
        <f>1-EXP(-$AE$3*I21)</f>
        <v>0.20767927643925854</v>
      </c>
      <c r="L21" s="5">
        <f t="shared" si="6"/>
        <v>1.6785586429758366E-4</v>
      </c>
      <c r="M21" s="11">
        <f>G21/((1+K21))</f>
        <v>-0.67898821814488841</v>
      </c>
      <c r="N21" s="5">
        <f t="shared" si="1"/>
        <v>-0.60461221270252152</v>
      </c>
      <c r="O21" s="11">
        <f>M21*K21</f>
        <v>-0.14101178185511187</v>
      </c>
      <c r="P21" s="5">
        <f t="shared" si="2"/>
        <v>-0.12556547858502387</v>
      </c>
      <c r="Q21" s="11">
        <f t="shared" si="7"/>
        <v>-0.82000000000000028</v>
      </c>
      <c r="R21" s="11">
        <v>0.82620000000000005</v>
      </c>
      <c r="S21" s="5">
        <v>1.4142135623731E-4</v>
      </c>
      <c r="T21" s="11">
        <f>M21/R21</f>
        <v>-0.82182064650797426</v>
      </c>
      <c r="U21" s="5">
        <f t="shared" si="8"/>
        <v>-0.73179886694884877</v>
      </c>
      <c r="V21" s="11">
        <f>SUM($T$2:T21)</f>
        <v>565.93187518133345</v>
      </c>
      <c r="W21" s="5">
        <f>SQRT((U21^2)+(U20^2)+(U19^2)+(U18^2)+(U17^2)+(U16^2)+(U15^2)+(U14^2)+(U13^2)+(U12^2)+(U11^2)+(U10^2)+(U9^2)+(U8^2)+(U7^2)+(U6^2)+(U5^2)+(U4^2)+(U3^2)+(U2^2))</f>
        <v>5.7634447368378199</v>
      </c>
      <c r="X21" s="11">
        <f t="shared" si="9"/>
        <v>-1.1316470302414807E-2</v>
      </c>
      <c r="Y21" s="5">
        <f t="shared" si="15"/>
        <v>-1.0076870211708692E-2</v>
      </c>
      <c r="Z21" s="5">
        <f t="shared" si="16"/>
        <v>1.0154331326362198E-4</v>
      </c>
      <c r="AA21" s="11">
        <f>(C21-$AE$6)*24</f>
        <v>189.69998611119809</v>
      </c>
      <c r="AB21" s="17">
        <f t="shared" si="12"/>
        <v>0.99947894568576034</v>
      </c>
      <c r="AC21" s="11">
        <f t="shared" si="13"/>
        <v>-1.1322369872084074E-2</v>
      </c>
    </row>
    <row r="22" spans="1:29" ht="15.75" thickBot="1" x14ac:dyDescent="0.3">
      <c r="A22" s="30" t="s">
        <v>11</v>
      </c>
      <c r="B22" s="26">
        <v>43363.541666608799</v>
      </c>
      <c r="C22" s="13">
        <v>43364.427082696762</v>
      </c>
      <c r="D22" s="14">
        <v>7.91</v>
      </c>
      <c r="E22" s="15">
        <v>6.57</v>
      </c>
      <c r="F22" s="5">
        <f t="shared" si="3"/>
        <v>0.51968700000000012</v>
      </c>
      <c r="G22" s="11">
        <f t="shared" si="0"/>
        <v>0</v>
      </c>
      <c r="H22" s="5">
        <f t="shared" si="17"/>
        <v>0.74954751448123691</v>
      </c>
      <c r="I22" s="16">
        <f>(C22-B22)*24</f>
        <v>21.249986111128237</v>
      </c>
      <c r="J22" s="10">
        <f t="shared" si="5"/>
        <v>1.6666666666666666E-2</v>
      </c>
      <c r="K22" s="11">
        <f>1-EXP(-$AE$3*I22)</f>
        <v>0.21328716777211598</v>
      </c>
      <c r="L22" s="5">
        <f t="shared" si="6"/>
        <v>1.6728416249051987E-4</v>
      </c>
      <c r="M22" s="11">
        <f>G22/((1+K22))</f>
        <v>0</v>
      </c>
      <c r="N22" s="5" t="e">
        <f t="shared" si="1"/>
        <v>#DIV/0!</v>
      </c>
      <c r="O22" s="11">
        <f>M22*K22</f>
        <v>0</v>
      </c>
      <c r="P22" s="5" t="e">
        <f t="shared" si="2"/>
        <v>#DIV/0!</v>
      </c>
      <c r="Q22" s="11">
        <f t="shared" si="7"/>
        <v>0</v>
      </c>
      <c r="R22" s="11"/>
      <c r="S22" s="5">
        <v>1.4142135623731E-4</v>
      </c>
      <c r="T22" s="11"/>
      <c r="U22" s="5" t="e">
        <f t="shared" si="8"/>
        <v>#DIV/0!</v>
      </c>
      <c r="V22" s="11"/>
      <c r="W22" s="11"/>
      <c r="X22" s="11"/>
      <c r="Y22" s="5" t="e">
        <f t="shared" si="15"/>
        <v>#DIV/0!</v>
      </c>
      <c r="Z22" s="5" t="e">
        <f t="shared" si="16"/>
        <v>#DIV/0!</v>
      </c>
      <c r="AA22" s="11"/>
      <c r="AB22" s="11"/>
      <c r="AC22" s="11"/>
    </row>
    <row r="23" spans="1:29" x14ac:dyDescent="0.25">
      <c r="Y23" s="12" t="s">
        <v>53</v>
      </c>
      <c r="Z23" s="2"/>
      <c r="AB23" s="2"/>
      <c r="AC23">
        <f>SUM(AC2:AC21)</f>
        <v>7.6031851182174721</v>
      </c>
    </row>
    <row r="24" spans="1:29" x14ac:dyDescent="0.25">
      <c r="W24" s="6" t="s">
        <v>54</v>
      </c>
      <c r="X24" s="2">
        <f>SUM(X2:X21)</f>
        <v>7.5993701053212472</v>
      </c>
      <c r="Y24" s="6">
        <f>SQRT(SUM(Z2:Z21))</f>
        <v>7.8216403114719585E-2</v>
      </c>
    </row>
    <row r="27" spans="1:29" x14ac:dyDescent="0.25">
      <c r="G27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CT34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2021-06-16T17:08:22Z</dcterms:modified>
</cp:coreProperties>
</file>